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visibility="hidden" xWindow="240" yWindow="120" windowWidth="9195" windowHeight="4965" tabRatio="601" activeTab="0"/>
  </bookViews>
  <sheets>
    <sheet name="Steuerberechnung" sheetId="1" r:id="rId1"/>
  </sheets>
  <definedNames>
    <definedName name="_xlnm.Print_Area" localSheetId="0">'Steuerberechnung'!$A$1:$L$73</definedName>
    <definedName name="Vorsorge">'Steuerberechnung'!$A$74:$L$144</definedName>
  </definedNames>
  <calcPr fullCalcOnLoad="1"/>
  <oleSize ref="A1:Q144"/>
</workbook>
</file>

<file path=xl/sharedStrings.xml><?xml version="1.0" encoding="utf-8"?>
<sst xmlns="http://schemas.openxmlformats.org/spreadsheetml/2006/main" count="195" uniqueCount="141">
  <si>
    <t>Name:</t>
  </si>
  <si>
    <t>StNr.:</t>
  </si>
  <si>
    <t>A.  Einkünfte aus nichtselbständiger Arbeit</t>
  </si>
  <si>
    <t>Stpfl/Ehemann</t>
  </si>
  <si>
    <t>Ehefrau</t>
  </si>
  <si>
    <t>DM</t>
  </si>
  <si>
    <t>1. aus Land- und Forstwirtschaft</t>
  </si>
  <si>
    <t>2. aus Gewerbebetrieb</t>
  </si>
  <si>
    <t>3. aus selbständiger Arbeit</t>
  </si>
  <si>
    <t>4. aus nichtselbständiger Arbeit</t>
  </si>
  <si>
    <t>w</t>
  </si>
  <si>
    <t>Arbeitslohn lt. Anlage N</t>
  </si>
  <si>
    <t xml:space="preserve">Versorgungsfreibetrag (40% der </t>
  </si>
  <si>
    <t>Versorgungsbezüge, max. 6000 DM/Pers.)</t>
  </si>
  <si>
    <t>Werbungskosten (Pauschbetrag 2000 DM)</t>
  </si>
  <si>
    <t>5.  Einkünfte Kapitalvermögen</t>
  </si>
  <si>
    <t>Einnahmen</t>
  </si>
  <si>
    <t>Werbungskosten</t>
  </si>
  <si>
    <t>(PB 100 DM/bei Ehegatten 200 DM)</t>
  </si>
  <si>
    <t xml:space="preserve">Sparer-Freibetrag </t>
  </si>
  <si>
    <t>(6000 DM, bei Ehegatten 12000 DM)</t>
  </si>
  <si>
    <t>6.  Einkünfte aus Vermietung und Verpachtung</t>
  </si>
  <si>
    <t>7.  Sonstige Einkünfte</t>
  </si>
  <si>
    <t>(bei Leibrenten nur Ertragsanteil)</t>
  </si>
  <si>
    <t>Werbungskosten (PB 200 DM)</t>
  </si>
  <si>
    <t>Zwischensumme:</t>
  </si>
  <si>
    <t>Summe der Einkünfte:</t>
  </si>
  <si>
    <t>Altersentlastungsbeitrag (Geburtstag vor dem 2.1.1929)</t>
  </si>
  <si>
    <t>Bruttoarbeitslohn ohne Versorgungsbezüge</t>
  </si>
  <si>
    <t>Summe der obigen Einkünfte</t>
  </si>
  <si>
    <t>zusammen</t>
  </si>
  <si>
    <t>davon 40%, höchstens je 3720 DM</t>
  </si>
  <si>
    <t xml:space="preserve"> + </t>
  </si>
  <si>
    <t>Freibetrag für Land- und Forstwirtschaft</t>
  </si>
  <si>
    <t>(2000 DM/ bei Ehegatten 4000 DM)</t>
  </si>
  <si>
    <t>Gesamtbetrag der Einkünfte:</t>
  </si>
  <si>
    <t>Sonderausgaben lt. Vordrucks ESt 1A</t>
  </si>
  <si>
    <t>Aufwendungen für die eigene Berufsausbildung</t>
  </si>
  <si>
    <t>30% des Schulgeldes</t>
  </si>
  <si>
    <t>Abziehbarer Betrag der Spenden und Beiträge</t>
  </si>
  <si>
    <t>Abziehbar (108 DM/ Splittingtabelle 216 DM)</t>
  </si>
  <si>
    <t>C.  Abziehbarer Betrag für Vorsorgeaufwendungen</t>
  </si>
  <si>
    <t>Vorsorgeaufwendungen</t>
  </si>
  <si>
    <t>Vorsorgepauschale</t>
  </si>
  <si>
    <t>Höherer Betrag von beiden</t>
  </si>
  <si>
    <t>D.  Außergewöhnliche Belastungen</t>
  </si>
  <si>
    <t>E.  Steuerbegünstigung zur</t>
  </si>
  <si>
    <t xml:space="preserve"> Förderung des Wohneigentums</t>
  </si>
  <si>
    <t>Einkommen:</t>
  </si>
  <si>
    <t>Abzüglich folgender Freibeträge:</t>
  </si>
  <si>
    <t>Kinderfreibetrag (je Kind 4104 DM bei Ehegatten/ 2052 DM)</t>
  </si>
  <si>
    <t>Anzahl der Kinder:</t>
  </si>
  <si>
    <t>Haushaltsfreibetrag</t>
  </si>
  <si>
    <t>Tariffreibetrag (600 DM/ bei Ehegatten 1200 DM)</t>
  </si>
  <si>
    <t>Härteausgleich</t>
  </si>
  <si>
    <t>zusammen:</t>
  </si>
  <si>
    <t>Zu versteuerndes Einkommen:</t>
  </si>
  <si>
    <t>Y=</t>
  </si>
  <si>
    <t>Steuerermäßigung (für Kinder gem. § 34 f EStG, Mitgliedsbeiträge und Spenden)</t>
  </si>
  <si>
    <t xml:space="preserve"> X=</t>
  </si>
  <si>
    <t>Davon ab:</t>
  </si>
  <si>
    <t>Lohnsteuer:</t>
  </si>
  <si>
    <t>bis 5.616</t>
  </si>
  <si>
    <t>KSt:</t>
  </si>
  <si>
    <t>zwischen 5.617 und 8.153</t>
  </si>
  <si>
    <t>Kapitalertragssteuer:</t>
  </si>
  <si>
    <t>von 8.154 bis 120.041</t>
  </si>
  <si>
    <t>Körperschaftssteuer:</t>
  </si>
  <si>
    <t>ab 120.042</t>
  </si>
  <si>
    <t>Solidaritätszuschlag:</t>
  </si>
  <si>
    <t>Selektion der Ergebnisses</t>
  </si>
  <si>
    <t>Summe:</t>
  </si>
  <si>
    <t>Geleistete Vorauszahlungen:</t>
  </si>
  <si>
    <t>ESt</t>
  </si>
  <si>
    <t>KSt</t>
  </si>
  <si>
    <t>Ihre Versicherungsbeiträge:</t>
  </si>
  <si>
    <t>Arbeitnehmeranteil am Gesamtsozialversicherungsbeitrag (lt. Lohnsteuerkarte)</t>
  </si>
  <si>
    <t>Eigene Beiträge zu</t>
  </si>
  <si>
    <t>Krankenversicherungen</t>
  </si>
  <si>
    <t>Unfallversicherungen (auch Insassen-Unfall)</t>
  </si>
  <si>
    <t>Lebensversicherungen (auch Risiko-LV)</t>
  </si>
  <si>
    <t>Haftpflichtversicherungen (auch Kfz-Haftpflicht)</t>
  </si>
  <si>
    <t>Sonstige Versicherungen</t>
  </si>
  <si>
    <t>Versicherungen insgesamt</t>
  </si>
  <si>
    <t>Abzugsfähig sind:</t>
  </si>
  <si>
    <t>1.</t>
  </si>
  <si>
    <t>Vorwegabzug</t>
  </si>
  <si>
    <t>6.000 DM/12.000 DM für Ehegatten</t>
  </si>
  <si>
    <t>Arbeitslohn:</t>
  </si>
  <si>
    <t>, davon 16%</t>
  </si>
  <si>
    <t xml:space="preserve">max 16% von </t>
  </si>
  <si>
    <t>86400 DM (alte Bundesländer)</t>
  </si>
  <si>
    <t>63600 DM (neue Bundesländer)</t>
  </si>
  <si>
    <t>Verbleibender Vorwegabzug, falls negativ = 0</t>
  </si>
  <si>
    <t>Verbleibende Versicherungsbeiträge</t>
  </si>
  <si>
    <t>zzgl. 50% der Beiträge an Bausparkassen</t>
  </si>
  <si>
    <t>Verbleibende Versicherungs- und Bausparbeiträge</t>
  </si>
  <si>
    <t>2.</t>
  </si>
  <si>
    <t xml:space="preserve">Grundhöchstbetrag </t>
  </si>
  <si>
    <t>(2610 DM für Ledige/5220 DM für Verheiratete)</t>
  </si>
  <si>
    <t>Verbleibende Versicherungs- und Bausparbeiträge, falls negativ = 0</t>
  </si>
  <si>
    <t>3.</t>
  </si>
  <si>
    <t>Davon die Hälfte</t>
  </si>
  <si>
    <t>Der kleinere Wert von beiden</t>
  </si>
  <si>
    <t>In dieser Höhe sind die Vorsorgeaufwendungen abzugsfähig:</t>
  </si>
  <si>
    <t>Bemessungsgrundlage für Vorsorgepauschale</t>
  </si>
  <si>
    <t>Maßgebender Arbeitslohn</t>
  </si>
  <si>
    <t>Abzüglich 40% Bruttoarbeitslohn, max. 3720 DM</t>
  </si>
  <si>
    <t>Maßgebender Betrag</t>
  </si>
  <si>
    <t>Berechnung der ungekürzten Vorsorgepauschale (A)</t>
  </si>
  <si>
    <t>18% des Betrages</t>
  </si>
  <si>
    <t>6.000 DM/12.000 DM abzüglich 16% des Betrages</t>
  </si>
  <si>
    <t>kleinerer Betrag von beiden:</t>
  </si>
  <si>
    <t>Übersteigender Betrag</t>
  </si>
  <si>
    <t>Höchstens 2.610 DM/5220 DM</t>
  </si>
  <si>
    <t>50% dieses Betrags, höchsten 1305 DM/2610 DM</t>
  </si>
  <si>
    <t>Abgerundet auf den nächsten durch 54 teilbaren DM-Betrag</t>
  </si>
  <si>
    <t>Berechnung der gekürzten Vorsorgepauschale (B)</t>
  </si>
  <si>
    <t>18% des Betrags oder höchstens 2000 DM/4000 DM</t>
  </si>
  <si>
    <t>Berechnung der Vorsorgepauschale für Ehegatten, die beide</t>
  </si>
  <si>
    <t>Arbeitslohn beziehen und einer zu A, der andere zu B gehört</t>
  </si>
  <si>
    <t>Für Ehegatten zu A</t>
  </si>
  <si>
    <t>18% seines maßgebenden Betrags</t>
  </si>
  <si>
    <t>Für Ehegatten zu B</t>
  </si>
  <si>
    <t>18% seines maßgebenden Betrags, max. 2000</t>
  </si>
  <si>
    <t>Höchstbetragsberechnung</t>
  </si>
  <si>
    <t>Höchstens 12.000 DM abzgl. 16% des Betrags</t>
  </si>
  <si>
    <t>Kleinerer Betrag von beiden</t>
  </si>
  <si>
    <t>Übersteigender Betrag, max. 5220 DM</t>
  </si>
  <si>
    <t>50% diesesBetrags, max. 2610 DM</t>
  </si>
  <si>
    <t>4.</t>
  </si>
  <si>
    <t>Mindestbetragsberechnung</t>
  </si>
  <si>
    <t>1.1.  Für den Ehegatten zu B</t>
  </si>
  <si>
    <t xml:space="preserve">        Maßgebender Betrag, max. 4000 DM</t>
  </si>
  <si>
    <t>5.</t>
  </si>
  <si>
    <t>Maßgebende Vorsorgepauschale</t>
  </si>
  <si>
    <t xml:space="preserve">         Maßgebender Betrag</t>
  </si>
  <si>
    <t xml:space="preserve">         Abgerundet auf den nächsten durch 54 teilbaren DM-Betrag</t>
  </si>
  <si>
    <t>ledig</t>
  </si>
  <si>
    <t>verheiratet</t>
  </si>
  <si>
    <t>Hugo Hablik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</si>
</sst>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0&quot; &quot;000&quot; &quot;00000"/>
  </numFmts>
  <fonts count="30">
    <font>
      <sz val="8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color indexed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name val="Wingdings"/>
      <family val="0"/>
    </font>
    <font>
      <sz val="6"/>
      <name val="Arial"/>
      <family val="0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b/>
      <sz val="9"/>
      <color indexed="14"/>
      <name val="Arial"/>
      <family val="0"/>
    </font>
    <font>
      <sz val="10"/>
      <name val="Arial"/>
      <family val="0"/>
    </font>
    <font>
      <b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0"/>
    </font>
    <font>
      <sz val="10"/>
      <name val="Wingdings"/>
      <family val="0"/>
    </font>
    <font>
      <sz val="10"/>
      <color indexed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8"/>
      <color indexed="13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9" fillId="0" borderId="1" applyFill="0">
      <alignment horizontal="right"/>
      <protection/>
    </xf>
    <xf numFmtId="3" fontId="29" fillId="0" borderId="1" applyFill="0" applyAlignment="0">
      <protection locked="0"/>
    </xf>
    <xf numFmtId="0" fontId="13" fillId="0" borderId="1" applyNumberFormat="0" applyFill="0">
      <alignment horizontal="centerContinuous"/>
      <protection locked="0"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" fillId="0" borderId="0" applyNumberFormat="0" applyFill="0" applyBorder="0" applyProtection="0">
      <alignment horizontal="centerContinuous"/>
    </xf>
    <xf numFmtId="0" fontId="7" fillId="0" borderId="1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8" fillId="0" borderId="0">
      <alignment/>
      <protection/>
    </xf>
    <xf numFmtId="0" fontId="8" fillId="0" borderId="0" applyNumberFormat="0" applyFill="0" applyBorder="0" applyProtection="0">
      <alignment horizontal="left"/>
    </xf>
    <xf numFmtId="9" fontId="4" fillId="0" borderId="0" applyFont="0" applyFill="0" applyBorder="0" applyAlignment="0" applyProtection="0"/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 horizontal="right"/>
    </xf>
    <xf numFmtId="0" fontId="5" fillId="0" borderId="2" applyNumberFormat="0" applyFill="0" applyBorder="0" applyProtection="0">
      <alignment horizontal="center" vertical="top" wrapText="1"/>
    </xf>
    <xf numFmtId="0" fontId="11" fillId="0" borderId="2" applyNumberFormat="0" applyFill="0" applyProtection="0">
      <alignment horizontal="center" vertical="top" wrapText="1"/>
    </xf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12" fillId="0" borderId="0" xfId="15" applyNumberFormat="1" applyFont="1" applyFill="1" applyBorder="1">
      <alignment horizontal="right"/>
      <protection/>
    </xf>
    <xf numFmtId="4" fontId="12" fillId="0" borderId="3" xfId="15" applyNumberFormat="1" applyFont="1" applyFill="1" applyBorder="1">
      <alignment horizontal="right"/>
      <protection/>
    </xf>
    <xf numFmtId="3" fontId="12" fillId="0" borderId="0" xfId="15" applyFont="1" applyFill="1" applyBorder="1">
      <alignment horizontal="right"/>
      <protection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4" fontId="1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3" fontId="19" fillId="0" borderId="1" xfId="16" applyFont="1" applyFill="1" applyAlignment="1">
      <alignment/>
      <protection locked="0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19" fillId="0" borderId="1" xfId="16" applyFont="1" applyFill="1" applyAlignment="1">
      <alignment horizontal="right"/>
      <protection locked="0"/>
    </xf>
    <xf numFmtId="3" fontId="21" fillId="0" borderId="1" xfId="15" applyFont="1" applyFill="1">
      <alignment horizontal="right"/>
      <protection/>
    </xf>
    <xf numFmtId="0" fontId="9" fillId="0" borderId="0" xfId="0" applyFont="1" applyFill="1" applyAlignment="1">
      <alignment horizontal="centerContinuous"/>
    </xf>
    <xf numFmtId="4" fontId="19" fillId="0" borderId="1" xfId="16" applyNumberFormat="1" applyFont="1" applyFill="1" applyAlignment="1">
      <alignment/>
      <protection locked="0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3" fontId="21" fillId="0" borderId="0" xfId="15" applyFont="1" applyFill="1" applyBorder="1">
      <alignment horizontal="right"/>
      <protection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" fontId="29" fillId="0" borderId="1" xfId="15" applyFill="1">
      <alignment horizontal="right"/>
      <protection/>
    </xf>
    <xf numFmtId="3" fontId="29" fillId="0" borderId="1" xfId="16" applyFill="1" applyAlignment="1">
      <alignment/>
      <protection locked="0"/>
    </xf>
    <xf numFmtId="3" fontId="19" fillId="0" borderId="1" xfId="16" applyFont="1" applyFill="1" applyAlignment="1">
      <alignment/>
      <protection locked="0"/>
    </xf>
    <xf numFmtId="3" fontId="29" fillId="0" borderId="1" xfId="16" applyFill="1" applyAlignment="1">
      <alignment horizontal="right"/>
      <protection locked="0"/>
    </xf>
    <xf numFmtId="0" fontId="23" fillId="0" borderId="0" xfId="20" applyFont="1" applyFill="1" applyAlignment="1">
      <alignment horizontal="left"/>
    </xf>
    <xf numFmtId="0" fontId="22" fillId="0" borderId="0" xfId="0" applyFont="1" applyFill="1" applyAlignment="1">
      <alignment horizontal="centerContinuous"/>
    </xf>
    <xf numFmtId="0" fontId="23" fillId="0" borderId="0" xfId="20" applyFont="1" applyFill="1" applyAlignment="1">
      <alignment/>
    </xf>
    <xf numFmtId="0" fontId="22" fillId="0" borderId="0" xfId="0" applyFont="1" applyFill="1" applyBorder="1" applyAlignment="1">
      <alignment horizontal="centerContinuous"/>
    </xf>
    <xf numFmtId="0" fontId="24" fillId="0" borderId="0" xfId="20" applyFont="1" applyFill="1" applyAlignment="1">
      <alignment/>
    </xf>
    <xf numFmtId="0" fontId="9" fillId="0" borderId="0" xfId="21" applyFont="1" applyFill="1" applyAlignment="1">
      <alignment horizontal="left"/>
    </xf>
    <xf numFmtId="0" fontId="15" fillId="0" borderId="0" xfId="0" applyFont="1" applyFill="1" applyBorder="1" applyAlignment="1">
      <alignment horizontal="centerContinuous"/>
    </xf>
    <xf numFmtId="0" fontId="9" fillId="0" borderId="0" xfId="21" applyFont="1" applyFill="1" applyAlignment="1">
      <alignment horizontal="right"/>
    </xf>
    <xf numFmtId="164" fontId="16" fillId="0" borderId="0" xfId="17" applyNumberFormat="1" applyFont="1" applyFill="1" applyBorder="1" applyAlignment="1">
      <alignment horizontal="centerContinuous"/>
      <protection locked="0"/>
    </xf>
    <xf numFmtId="0" fontId="18" fillId="0" borderId="0" xfId="0" applyFont="1" applyFill="1" applyBorder="1" applyAlignment="1">
      <alignment/>
    </xf>
    <xf numFmtId="0" fontId="9" fillId="0" borderId="0" xfId="21" applyFont="1" applyFill="1" applyBorder="1" applyAlignment="1">
      <alignment horizontal="right"/>
    </xf>
    <xf numFmtId="0" fontId="9" fillId="0" borderId="0" xfId="22" applyFont="1" applyFill="1">
      <alignment horizontal="left"/>
    </xf>
    <xf numFmtId="0" fontId="9" fillId="0" borderId="0" xfId="21" applyFont="1" applyFill="1">
      <alignment horizontal="left"/>
    </xf>
    <xf numFmtId="0" fontId="26" fillId="0" borderId="0" xfId="23" applyFont="1" applyFill="1">
      <alignment/>
      <protection/>
    </xf>
    <xf numFmtId="0" fontId="9" fillId="0" borderId="0" xfId="23" applyFont="1" applyFill="1">
      <alignment/>
      <protection/>
    </xf>
    <xf numFmtId="0" fontId="20" fillId="0" borderId="0" xfId="27" applyFont="1" applyFill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23" applyFont="1" applyFill="1" applyAlignment="1">
      <alignment horizontal="right"/>
      <protection/>
    </xf>
    <xf numFmtId="0" fontId="27" fillId="0" borderId="0" xfId="23" applyFont="1" applyFill="1">
      <alignment/>
      <protection/>
    </xf>
    <xf numFmtId="2" fontId="15" fillId="0" borderId="0" xfId="0" applyNumberFormat="1" applyFont="1" applyFill="1" applyAlignment="1">
      <alignment/>
    </xf>
    <xf numFmtId="3" fontId="19" fillId="0" borderId="1" xfId="16" applyFont="1" applyFill="1" applyAlignment="1">
      <alignment horizontal="center"/>
      <protection locked="0"/>
    </xf>
    <xf numFmtId="0" fontId="15" fillId="0" borderId="0" xfId="0" applyNumberFormat="1" applyFont="1" applyFill="1" applyAlignment="1">
      <alignment horizontal="left"/>
    </xf>
    <xf numFmtId="0" fontId="15" fillId="0" borderId="3" xfId="0" applyFont="1" applyFill="1" applyBorder="1" applyAlignment="1">
      <alignment/>
    </xf>
    <xf numFmtId="3" fontId="15" fillId="0" borderId="0" xfId="0" applyNumberFormat="1" applyFont="1" applyFill="1" applyAlignment="1">
      <alignment horizontal="left"/>
    </xf>
    <xf numFmtId="0" fontId="9" fillId="0" borderId="0" xfId="20" applyFont="1" applyFill="1" applyAlignment="1">
      <alignment horizontal="left"/>
    </xf>
    <xf numFmtId="0" fontId="15" fillId="0" borderId="0" xfId="0" applyFont="1" applyFill="1" applyAlignment="1">
      <alignment horizontal="centerContinuous"/>
    </xf>
    <xf numFmtId="1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21" fillId="0" borderId="0" xfId="15" applyNumberFormat="1" applyFont="1" applyFill="1" applyBorder="1">
      <alignment horizontal="right"/>
      <protection/>
    </xf>
    <xf numFmtId="3" fontId="19" fillId="0" borderId="0" xfId="16" applyFont="1" applyFill="1" applyBorder="1" applyAlignment="1">
      <alignment/>
      <protection locked="0"/>
    </xf>
    <xf numFmtId="0" fontId="7" fillId="0" borderId="0" xfId="20" applyFont="1" applyFill="1" applyAlignment="1">
      <alignment horizontal="left"/>
    </xf>
    <xf numFmtId="0" fontId="9" fillId="0" borderId="0" xfId="0" applyFont="1" applyFill="1" applyBorder="1" applyAlignment="1">
      <alignment horizontal="center"/>
    </xf>
  </cellXfs>
  <cellStyles count="18">
    <cellStyle name="Normal" xfId="0"/>
    <cellStyle name="Berechnung" xfId="15"/>
    <cellStyle name="Daten" xfId="16"/>
    <cellStyle name="Daten, pers." xfId="17"/>
    <cellStyle name="Comma" xfId="18"/>
    <cellStyle name="Comma [0]" xfId="19"/>
    <cellStyle name="HL 1" xfId="20"/>
    <cellStyle name="HL 2" xfId="21"/>
    <cellStyle name="HL 3" xfId="22"/>
    <cellStyle name="HL 4" xfId="23"/>
    <cellStyle name="HL Block" xfId="24"/>
    <cellStyle name="Percent" xfId="25"/>
    <cellStyle name="Punkt (kl.l)" xfId="26"/>
    <cellStyle name="Raute (kl. w)" xfId="27"/>
    <cellStyle name="TabFonts" xfId="28"/>
    <cellStyle name="TabFonts_hl" xfId="29"/>
    <cellStyle name="Currency" xfId="30"/>
    <cellStyle name="Currency [0]" xfId="31"/>
  </cellStyles>
  <dxfs count="2">
    <dxf>
      <font>
        <b/>
        <i val="0"/>
        <color rgb="FFFF0000"/>
      </font>
      <border/>
    </dxf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333375</xdr:rowOff>
    </xdr:from>
    <xdr:to>
      <xdr:col>2</xdr:col>
      <xdr:colOff>323850</xdr:colOff>
      <xdr:row>3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61975"/>
          <a:ext cx="800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19050</xdr:rowOff>
    </xdr:from>
    <xdr:to>
      <xdr:col>11</xdr:col>
      <xdr:colOff>647700</xdr:colOff>
      <xdr:row>1</xdr:row>
      <xdr:rowOff>104775</xdr:rowOff>
    </xdr:to>
    <xdr:sp>
      <xdr:nvSpPr>
        <xdr:cNvPr id="2" name="TextBox 39"/>
        <xdr:cNvSpPr txBox="1">
          <a:spLocks noChangeArrowheads="1"/>
        </xdr:cNvSpPr>
      </xdr:nvSpPr>
      <xdr:spPr>
        <a:xfrm>
          <a:off x="2533650" y="19050"/>
          <a:ext cx="2895600" cy="3143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Diese Tabelle dient nur als Beispiel und kann nicht zur Ermittlung von realen Steuern gebraucht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44"/>
  <sheetViews>
    <sheetView tabSelected="1" workbookViewId="0" topLeftCell="A1">
      <selection activeCell="A2" sqref="A2"/>
    </sheetView>
  </sheetViews>
  <sheetFormatPr defaultColWidth="12" defaultRowHeight="11.25"/>
  <cols>
    <col min="1" max="1" width="3" style="5" customWidth="1"/>
    <col min="2" max="2" width="5.83203125" style="5" customWidth="1"/>
    <col min="3" max="3" width="10.83203125" style="5" customWidth="1"/>
    <col min="4" max="4" width="12.16015625" style="5" customWidth="1"/>
    <col min="5" max="5" width="14.16015625" style="5" customWidth="1"/>
    <col min="6" max="6" width="8.83203125" style="5" customWidth="1"/>
    <col min="7" max="7" width="3.83203125" style="13" customWidth="1"/>
    <col min="8" max="8" width="10" style="5" customWidth="1"/>
    <col min="9" max="9" width="3.83203125" style="13" customWidth="1"/>
    <col min="10" max="10" width="9" style="5" customWidth="1"/>
    <col min="11" max="11" width="2.16015625" style="13" customWidth="1"/>
    <col min="12" max="12" width="11.5" style="14" customWidth="1"/>
    <col min="13" max="13" width="7.5" style="5" customWidth="1"/>
    <col min="14" max="17" width="11.5" style="5" hidden="1" customWidth="1"/>
    <col min="18" max="16384" width="11.5" style="5" customWidth="1"/>
  </cols>
  <sheetData>
    <row r="1" spans="1:13" s="24" customFormat="1" ht="18">
      <c r="A1" s="29" t="str">
        <f ca="1">"Steuerberechnung für "&amp;YEAR(TODAY())-1</f>
        <v>Steuerberechnung für 1997</v>
      </c>
      <c r="B1" s="30"/>
      <c r="C1" s="30"/>
      <c r="D1" s="31"/>
      <c r="F1" s="30"/>
      <c r="G1" s="32"/>
      <c r="H1" s="33"/>
      <c r="I1" s="32"/>
      <c r="J1" s="30"/>
      <c r="K1" s="32"/>
      <c r="L1" s="22" t="s">
        <v>138</v>
      </c>
      <c r="M1" s="23"/>
    </row>
    <row r="2" spans="1:16" ht="27" customHeight="1">
      <c r="A2" s="34" t="s">
        <v>0</v>
      </c>
      <c r="B2" s="5"/>
      <c r="C2" s="34" t="s">
        <v>140</v>
      </c>
      <c r="D2" s="35"/>
      <c r="E2" s="35"/>
      <c r="F2" s="13"/>
      <c r="G2" s="36" t="s">
        <v>1</v>
      </c>
      <c r="H2" s="37">
        <f>1234567890</f>
        <v>1234567890</v>
      </c>
      <c r="I2" s="35"/>
      <c r="J2" s="35"/>
      <c r="K2" s="35"/>
      <c r="L2" s="4" t="s">
        <v>139</v>
      </c>
      <c r="P2" s="6"/>
    </row>
    <row r="3" spans="1:16" ht="12" customHeight="1">
      <c r="A3" s="38" t="s">
        <v>139</v>
      </c>
      <c r="B3" s="13"/>
      <c r="C3" s="38"/>
      <c r="D3" s="35"/>
      <c r="E3" s="35"/>
      <c r="F3" s="13"/>
      <c r="G3" s="39"/>
      <c r="H3" s="37"/>
      <c r="I3" s="35"/>
      <c r="J3" s="35"/>
      <c r="K3" s="35"/>
      <c r="L3" s="7"/>
      <c r="P3" s="6"/>
    </row>
    <row r="4" spans="1:12" ht="18" customHeight="1">
      <c r="A4" s="40" t="s">
        <v>2</v>
      </c>
      <c r="J4" s="19" t="s">
        <v>3</v>
      </c>
      <c r="K4" s="9"/>
      <c r="L4" s="10" t="s">
        <v>4</v>
      </c>
    </row>
    <row r="5" spans="1:12" ht="11.25" customHeight="1">
      <c r="A5" s="41"/>
      <c r="G5" s="5"/>
      <c r="I5" s="9"/>
      <c r="J5" s="8" t="s">
        <v>5</v>
      </c>
      <c r="K5" s="9"/>
      <c r="L5" s="8" t="s">
        <v>5</v>
      </c>
    </row>
    <row r="6" spans="1:12" ht="15">
      <c r="A6" s="5"/>
      <c r="B6" s="42" t="s">
        <v>6</v>
      </c>
      <c r="J6" s="11">
        <v>0</v>
      </c>
      <c r="K6" s="5"/>
      <c r="L6" s="26">
        <v>0</v>
      </c>
    </row>
    <row r="7" spans="1:12" ht="15">
      <c r="A7" s="5"/>
      <c r="B7" s="42" t="s">
        <v>7</v>
      </c>
      <c r="J7" s="26">
        <v>0</v>
      </c>
      <c r="K7" s="5"/>
      <c r="L7" s="27">
        <v>0</v>
      </c>
    </row>
    <row r="8" spans="1:12" ht="15">
      <c r="A8" s="5"/>
      <c r="B8" s="42" t="s">
        <v>8</v>
      </c>
      <c r="J8" s="11">
        <v>0</v>
      </c>
      <c r="K8" s="5"/>
      <c r="L8" s="27">
        <v>0</v>
      </c>
    </row>
    <row r="9" spans="1:9" ht="15">
      <c r="A9" s="5"/>
      <c r="B9" s="42" t="s">
        <v>9</v>
      </c>
      <c r="F9" s="8" t="s">
        <v>3</v>
      </c>
      <c r="G9" s="9"/>
      <c r="H9" s="10" t="s">
        <v>4</v>
      </c>
      <c r="I9" s="12"/>
    </row>
    <row r="10" spans="2:11" ht="12.75">
      <c r="B10" s="43"/>
      <c r="F10" s="8" t="s">
        <v>5</v>
      </c>
      <c r="G10" s="9"/>
      <c r="H10" s="8" t="s">
        <v>5</v>
      </c>
      <c r="I10" s="12"/>
      <c r="K10" s="5"/>
    </row>
    <row r="11" spans="1:11" ht="12.75">
      <c r="A11" s="5"/>
      <c r="B11" s="44" t="s">
        <v>10</v>
      </c>
      <c r="C11" s="5" t="s">
        <v>11</v>
      </c>
      <c r="F11" s="11">
        <v>52800</v>
      </c>
      <c r="G11" s="5"/>
      <c r="H11" s="11">
        <v>0</v>
      </c>
      <c r="I11" s="5"/>
      <c r="K11" s="5"/>
    </row>
    <row r="12" spans="1:11" ht="12.75">
      <c r="A12" s="5"/>
      <c r="B12" s="44" t="s">
        <v>10</v>
      </c>
      <c r="C12" s="5" t="s">
        <v>12</v>
      </c>
      <c r="G12" s="5"/>
      <c r="I12" s="5"/>
      <c r="K12" s="5"/>
    </row>
    <row r="13" spans="3:11" ht="12.75">
      <c r="C13" s="5" t="s">
        <v>13</v>
      </c>
      <c r="F13" s="11"/>
      <c r="G13" s="5"/>
      <c r="H13" s="11">
        <v>0</v>
      </c>
      <c r="I13" s="5"/>
      <c r="K13" s="5"/>
    </row>
    <row r="14" spans="1:12" ht="12.75">
      <c r="A14" s="5"/>
      <c r="B14" s="44" t="s">
        <v>10</v>
      </c>
      <c r="C14" s="5" t="s">
        <v>14</v>
      </c>
      <c r="F14" s="11">
        <v>2000</v>
      </c>
      <c r="G14" s="5"/>
      <c r="H14" s="11">
        <v>0</v>
      </c>
      <c r="I14" s="5"/>
      <c r="J14" s="25">
        <f>F11-F13-F14</f>
        <v>50800</v>
      </c>
      <c r="K14" s="5"/>
      <c r="L14" s="25">
        <f>H11-H13-H14</f>
        <v>0</v>
      </c>
    </row>
    <row r="15" spans="2:12" ht="12.75">
      <c r="B15" s="44"/>
      <c r="G15" s="5"/>
      <c r="I15" s="5"/>
      <c r="K15" s="5"/>
      <c r="L15" s="5"/>
    </row>
    <row r="16" spans="1:11" ht="15">
      <c r="A16" s="5"/>
      <c r="B16" s="42" t="s">
        <v>15</v>
      </c>
      <c r="G16" s="5"/>
      <c r="I16" s="5"/>
      <c r="K16" s="5"/>
    </row>
    <row r="17" spans="2:11" ht="12.75">
      <c r="B17" s="44" t="s">
        <v>10</v>
      </c>
      <c r="C17" s="5" t="s">
        <v>16</v>
      </c>
      <c r="F17" s="11"/>
      <c r="G17" s="5"/>
      <c r="H17" s="11">
        <v>0</v>
      </c>
      <c r="I17" s="5"/>
      <c r="K17" s="5"/>
    </row>
    <row r="18" spans="2:11" ht="12.75">
      <c r="B18" s="44" t="s">
        <v>10</v>
      </c>
      <c r="C18" s="5" t="s">
        <v>17</v>
      </c>
      <c r="F18" s="11"/>
      <c r="G18" s="5"/>
      <c r="H18" s="11">
        <v>0</v>
      </c>
      <c r="I18" s="5"/>
      <c r="K18" s="5"/>
    </row>
    <row r="19" spans="2:11" ht="12.75">
      <c r="B19" s="44"/>
      <c r="C19" s="5" t="s">
        <v>18</v>
      </c>
      <c r="G19" s="5"/>
      <c r="I19" s="5"/>
      <c r="K19" s="5"/>
    </row>
    <row r="20" spans="2:12" ht="12.75">
      <c r="B20" s="44" t="s">
        <v>10</v>
      </c>
      <c r="C20" s="5" t="s">
        <v>19</v>
      </c>
      <c r="F20" s="11">
        <f>IF(A3="ledig",6000,12000)</f>
        <v>12000</v>
      </c>
      <c r="G20" s="5"/>
      <c r="H20" s="11">
        <v>0</v>
      </c>
      <c r="I20" s="5"/>
      <c r="J20" s="25">
        <f>IF(F17-F18&lt;=F20,0,F17-F18-F20)</f>
        <v>0</v>
      </c>
      <c r="K20" s="5"/>
      <c r="L20" s="25">
        <f>H17-H18-H20</f>
        <v>0</v>
      </c>
    </row>
    <row r="21" spans="2:11" ht="12.75">
      <c r="B21" s="5"/>
      <c r="C21" s="5" t="s">
        <v>20</v>
      </c>
      <c r="G21" s="5"/>
      <c r="I21" s="5"/>
      <c r="K21" s="5"/>
    </row>
    <row r="22" spans="2:12" ht="15">
      <c r="B22" s="42" t="s">
        <v>21</v>
      </c>
      <c r="G22" s="5"/>
      <c r="I22" s="5"/>
      <c r="J22" s="15">
        <v>0</v>
      </c>
      <c r="K22" s="5"/>
      <c r="L22" s="28">
        <v>0</v>
      </c>
    </row>
    <row r="23" spans="2:11" ht="15">
      <c r="B23" s="42" t="s">
        <v>22</v>
      </c>
      <c r="G23" s="5"/>
      <c r="I23" s="5"/>
      <c r="K23" s="5"/>
    </row>
    <row r="24" spans="2:11" ht="12.75">
      <c r="B24" s="44" t="s">
        <v>10</v>
      </c>
      <c r="C24" s="5" t="s">
        <v>16</v>
      </c>
      <c r="F24" s="11">
        <v>0</v>
      </c>
      <c r="G24" s="5"/>
      <c r="H24" s="11">
        <v>0</v>
      </c>
      <c r="I24" s="5"/>
      <c r="K24" s="5"/>
    </row>
    <row r="25" spans="2:11" ht="12.75">
      <c r="B25" s="5"/>
      <c r="C25" s="5" t="s">
        <v>23</v>
      </c>
      <c r="G25" s="5"/>
      <c r="I25" s="5"/>
      <c r="K25" s="5"/>
    </row>
    <row r="26" spans="2:12" ht="12.75">
      <c r="B26" s="44" t="s">
        <v>10</v>
      </c>
      <c r="C26" s="5" t="s">
        <v>24</v>
      </c>
      <c r="F26" s="11">
        <v>0</v>
      </c>
      <c r="G26" s="5"/>
      <c r="H26" s="11">
        <v>0</v>
      </c>
      <c r="I26" s="5"/>
      <c r="J26" s="25">
        <f>F24-F26</f>
        <v>0</v>
      </c>
      <c r="K26" s="5"/>
      <c r="L26" s="25">
        <f>H24-H26</f>
        <v>0</v>
      </c>
    </row>
    <row r="27" spans="8:12" ht="15" customHeight="1">
      <c r="H27" s="45" t="s">
        <v>25</v>
      </c>
      <c r="I27" s="20"/>
      <c r="J27" s="25">
        <f>SUM(J6:J26)</f>
        <v>50800</v>
      </c>
      <c r="K27" s="5"/>
      <c r="L27" s="25">
        <f>SUM(L6:L26)</f>
        <v>0</v>
      </c>
    </row>
    <row r="28" spans="8:12" ht="12.75">
      <c r="H28" s="45" t="s">
        <v>26</v>
      </c>
      <c r="I28" s="5"/>
      <c r="L28" s="25">
        <f>J27+L27</f>
        <v>50800</v>
      </c>
    </row>
    <row r="29" spans="2:9" ht="15" customHeight="1">
      <c r="B29" s="43" t="s">
        <v>27</v>
      </c>
      <c r="I29" s="5"/>
    </row>
    <row r="30" spans="2:9" ht="12.75">
      <c r="B30" s="44" t="s">
        <v>10</v>
      </c>
      <c r="C30" s="5" t="s">
        <v>28</v>
      </c>
      <c r="F30" s="11">
        <v>0</v>
      </c>
      <c r="G30" s="5"/>
      <c r="H30" s="11">
        <v>0</v>
      </c>
      <c r="I30" s="5"/>
    </row>
    <row r="31" spans="2:9" ht="12.75">
      <c r="B31" s="44" t="s">
        <v>10</v>
      </c>
      <c r="C31" s="5" t="s">
        <v>29</v>
      </c>
      <c r="F31" s="25">
        <f>IF(F30=0,0,SUM(J6:J8)+J14)</f>
        <v>0</v>
      </c>
      <c r="G31" s="5"/>
      <c r="H31" s="25">
        <f>IF(H30=0,0,SUM(L6:L8)+L14)</f>
        <v>0</v>
      </c>
      <c r="I31" s="5"/>
    </row>
    <row r="32" spans="5:9" ht="12.75">
      <c r="E32" s="5" t="s">
        <v>30</v>
      </c>
      <c r="F32" s="25">
        <f>SUM(F30:F31)</f>
        <v>0</v>
      </c>
      <c r="G32" s="5"/>
      <c r="H32" s="25">
        <f>SUM(H30:H31)</f>
        <v>0</v>
      </c>
      <c r="I32" s="5"/>
    </row>
    <row r="33" spans="1:12" ht="12.75">
      <c r="A33" s="5"/>
      <c r="B33" s="44" t="s">
        <v>10</v>
      </c>
      <c r="C33" s="5" t="s">
        <v>31</v>
      </c>
      <c r="F33" s="25">
        <f>IF(F32/100*40&gt;3720,3720,F32/100*40)</f>
        <v>0</v>
      </c>
      <c r="G33" s="46" t="s">
        <v>32</v>
      </c>
      <c r="H33" s="25">
        <f>IF(H32/100*40&gt;3720,3720,H32/100*40)</f>
        <v>0</v>
      </c>
      <c r="I33" s="5"/>
      <c r="L33" s="25">
        <f>F33+H33</f>
        <v>0</v>
      </c>
    </row>
    <row r="34" spans="1:12" ht="12.75">
      <c r="A34" s="5"/>
      <c r="B34" s="43" t="s">
        <v>33</v>
      </c>
      <c r="F34" s="5" t="s">
        <v>34</v>
      </c>
      <c r="L34" s="26">
        <v>0</v>
      </c>
    </row>
    <row r="35" spans="11:12" ht="15" customHeight="1">
      <c r="K35" s="47" t="s">
        <v>35</v>
      </c>
      <c r="L35" s="25">
        <f>L28-L33-L34</f>
        <v>50800</v>
      </c>
    </row>
    <row r="36" spans="1:10" ht="12.75">
      <c r="A36" s="5"/>
      <c r="B36" s="44" t="s">
        <v>10</v>
      </c>
      <c r="C36" s="5" t="s">
        <v>36</v>
      </c>
      <c r="J36" s="11">
        <v>0</v>
      </c>
    </row>
    <row r="37" spans="1:10" ht="12.75">
      <c r="A37" s="5"/>
      <c r="B37" s="44" t="s">
        <v>10</v>
      </c>
      <c r="C37" s="5" t="s">
        <v>37</v>
      </c>
      <c r="J37" s="11">
        <v>1500</v>
      </c>
    </row>
    <row r="38" spans="1:10" ht="12.75">
      <c r="A38" s="5"/>
      <c r="B38" s="44" t="s">
        <v>10</v>
      </c>
      <c r="C38" s="5" t="s">
        <v>38</v>
      </c>
      <c r="J38" s="11">
        <v>0</v>
      </c>
    </row>
    <row r="39" spans="1:10" ht="12.75">
      <c r="A39" s="5"/>
      <c r="B39" s="44" t="s">
        <v>10</v>
      </c>
      <c r="C39" s="5" t="s">
        <v>39</v>
      </c>
      <c r="J39" s="11">
        <v>600</v>
      </c>
    </row>
    <row r="40" spans="1:10" ht="12.75">
      <c r="A40" s="5"/>
      <c r="B40" s="44" t="s">
        <v>10</v>
      </c>
      <c r="C40" s="5" t="s">
        <v>40</v>
      </c>
      <c r="J40" s="11">
        <f>IF(A3="ledig",108,216)</f>
        <v>216</v>
      </c>
    </row>
    <row r="41" spans="8:12" ht="12.75">
      <c r="H41" s="5" t="s">
        <v>30</v>
      </c>
      <c r="I41" s="13"/>
      <c r="J41" s="25">
        <f>SUM(J36:J40)</f>
        <v>2316</v>
      </c>
      <c r="K41" s="13"/>
      <c r="L41" s="25">
        <f>L35-J41</f>
        <v>48484</v>
      </c>
    </row>
    <row r="42" ht="12.75">
      <c r="K42" s="5"/>
    </row>
    <row r="43" ht="15">
      <c r="A43" s="42" t="s">
        <v>41</v>
      </c>
    </row>
    <row r="44" spans="1:10" ht="15">
      <c r="A44" s="42"/>
      <c r="B44" s="44" t="s">
        <v>10</v>
      </c>
      <c r="C44" s="5" t="s">
        <v>42</v>
      </c>
      <c r="J44" s="25">
        <f>L100</f>
        <v>8772</v>
      </c>
    </row>
    <row r="45" spans="1:10" ht="12.75">
      <c r="A45" s="5"/>
      <c r="B45" s="44" t="s">
        <v>10</v>
      </c>
      <c r="C45" s="5" t="s">
        <v>43</v>
      </c>
      <c r="J45" s="25">
        <f>IF(L119=0,IF(L123=0,L144,),L119)</f>
        <v>3888</v>
      </c>
    </row>
    <row r="46" spans="3:10" ht="12.75">
      <c r="C46" s="5" t="s">
        <v>44</v>
      </c>
      <c r="J46" s="25">
        <f>IF(J44&gt;J45,J44,J45)</f>
        <v>8772</v>
      </c>
    </row>
    <row r="48" spans="1:10" ht="15">
      <c r="A48" s="48" t="s">
        <v>45</v>
      </c>
      <c r="J48" s="11">
        <v>0</v>
      </c>
    </row>
    <row r="49" ht="15">
      <c r="A49" s="48"/>
    </row>
    <row r="50" spans="1:10" ht="15">
      <c r="A50" s="48" t="s">
        <v>46</v>
      </c>
      <c r="J50" s="8"/>
    </row>
    <row r="51" spans="1:12" ht="15">
      <c r="A51" s="48"/>
      <c r="B51" s="40" t="s">
        <v>47</v>
      </c>
      <c r="J51" s="15">
        <v>0</v>
      </c>
      <c r="K51" s="13"/>
      <c r="L51" s="25">
        <f>SUM(J46:J51)</f>
        <v>8772</v>
      </c>
    </row>
    <row r="52" spans="10:12" ht="15" customHeight="1">
      <c r="J52" s="47" t="s">
        <v>48</v>
      </c>
      <c r="K52" s="13"/>
      <c r="L52" s="25">
        <f>L41-L51</f>
        <v>39712</v>
      </c>
    </row>
    <row r="53" spans="1:2" ht="12.75">
      <c r="A53" s="5"/>
      <c r="B53" s="5" t="s">
        <v>49</v>
      </c>
    </row>
    <row r="54" spans="1:15" ht="12.75">
      <c r="A54" s="5"/>
      <c r="B54" s="44" t="s">
        <v>10</v>
      </c>
      <c r="C54" s="5" t="s">
        <v>50</v>
      </c>
      <c r="N54" s="49"/>
      <c r="O54" s="49"/>
    </row>
    <row r="55" spans="2:10" ht="12.75">
      <c r="B55" s="44"/>
      <c r="F55" s="19" t="s">
        <v>51</v>
      </c>
      <c r="G55" s="50">
        <v>2</v>
      </c>
      <c r="J55" s="25">
        <v>4104</v>
      </c>
    </row>
    <row r="56" spans="1:10" ht="12.75">
      <c r="A56" s="5"/>
      <c r="B56" s="44" t="s">
        <v>10</v>
      </c>
      <c r="C56" s="5" t="s">
        <v>52</v>
      </c>
      <c r="J56" s="11">
        <v>0</v>
      </c>
    </row>
    <row r="57" spans="1:10" ht="12.75">
      <c r="A57" s="5"/>
      <c r="B57" s="44" t="s">
        <v>10</v>
      </c>
      <c r="C57" s="5" t="s">
        <v>53</v>
      </c>
      <c r="J57" s="11">
        <v>0</v>
      </c>
    </row>
    <row r="58" spans="1:10" ht="12.75">
      <c r="A58" s="5"/>
      <c r="B58" s="44" t="s">
        <v>10</v>
      </c>
      <c r="C58" s="5" t="s">
        <v>54</v>
      </c>
      <c r="J58" s="11">
        <v>0</v>
      </c>
    </row>
    <row r="59" spans="8:10" ht="12.75">
      <c r="H59" s="5" t="s">
        <v>55</v>
      </c>
      <c r="I59" s="13"/>
      <c r="J59" s="25">
        <f>SUM(J55:J58)</f>
        <v>4104</v>
      </c>
    </row>
    <row r="60" spans="10:14" ht="18" customHeight="1">
      <c r="J60" s="36" t="s">
        <v>56</v>
      </c>
      <c r="K60" s="13"/>
      <c r="L60" s="25">
        <f>L52-J59</f>
        <v>35608</v>
      </c>
      <c r="M60" s="1"/>
      <c r="N60" s="5">
        <f>L60/54</f>
        <v>659.4074074074074</v>
      </c>
    </row>
    <row r="61" spans="1:16" ht="12.75">
      <c r="A61" s="5"/>
      <c r="B61" s="5" t="str">
        <f ca="1">"Steuer "&amp;YEAR(TODAY())-1</f>
        <v>Steuer 1997</v>
      </c>
      <c r="L61" s="25">
        <f>ABS(N67)</f>
        <v>967</v>
      </c>
      <c r="O61" s="19" t="s">
        <v>57</v>
      </c>
      <c r="P61" s="51">
        <f>(P62-8100)/10000</f>
        <v>-0.81</v>
      </c>
    </row>
    <row r="62" spans="1:16" ht="12.75">
      <c r="A62" s="5"/>
      <c r="B62" s="5" t="s">
        <v>58</v>
      </c>
      <c r="L62" s="27">
        <v>0</v>
      </c>
      <c r="M62" s="5"/>
      <c r="N62" s="52">
        <f>N69</f>
        <v>0</v>
      </c>
      <c r="O62" s="19" t="s">
        <v>59</v>
      </c>
      <c r="P62" s="53">
        <f>N62*54</f>
        <v>0</v>
      </c>
    </row>
    <row r="63" spans="1:16" ht="12.75">
      <c r="A63" s="5"/>
      <c r="B63" s="5" t="s">
        <v>60</v>
      </c>
      <c r="C63" s="5"/>
      <c r="D63" s="5" t="s">
        <v>61</v>
      </c>
      <c r="G63" s="5"/>
      <c r="J63" s="11">
        <v>9504.26</v>
      </c>
      <c r="N63" s="5">
        <f>IF(L60&lt;5617,0,)</f>
        <v>0</v>
      </c>
      <c r="O63" s="5" t="s">
        <v>62</v>
      </c>
      <c r="P63" s="5"/>
    </row>
    <row r="64" spans="4:16" ht="12.75">
      <c r="D64" s="5" t="s">
        <v>63</v>
      </c>
      <c r="G64" s="50">
        <v>9</v>
      </c>
      <c r="H64" s="5" t="str">
        <f>"%"</f>
        <v>%</v>
      </c>
      <c r="I64" s="13"/>
      <c r="J64" s="25">
        <f>ABS((L61-G55*300)/100*G64)</f>
        <v>33.03</v>
      </c>
      <c r="N64" s="5">
        <f>IF(AND(L60&gt;5616,L60&lt;8154),(0.19*P62)-1067,)</f>
        <v>0</v>
      </c>
      <c r="O64" s="5" t="s">
        <v>64</v>
      </c>
      <c r="P64" s="5"/>
    </row>
    <row r="65" spans="4:16" ht="12.75">
      <c r="D65" s="5" t="s">
        <v>65</v>
      </c>
      <c r="G65" s="5"/>
      <c r="J65" s="18">
        <v>0</v>
      </c>
      <c r="N65" s="5">
        <f>IF(AND(L60&gt;8153,L60&lt;120042),TRUNC((151.94*P61+1900)*P61+472,0))</f>
        <v>-967</v>
      </c>
      <c r="O65" s="5" t="s">
        <v>66</v>
      </c>
      <c r="P65" s="5"/>
    </row>
    <row r="66" spans="4:16" ht="12.75">
      <c r="D66" s="5" t="s">
        <v>67</v>
      </c>
      <c r="G66" s="5"/>
      <c r="J66" s="18">
        <v>0</v>
      </c>
      <c r="N66" s="5">
        <f>IF(L60&gt;120041,0.53*P62-22842,)</f>
        <v>0</v>
      </c>
      <c r="O66" s="5" t="s">
        <v>68</v>
      </c>
      <c r="P66" s="5"/>
    </row>
    <row r="67" spans="4:16" ht="12.75">
      <c r="D67" s="5" t="s">
        <v>69</v>
      </c>
      <c r="G67" s="5"/>
      <c r="J67" s="25">
        <f>ABS(L61/100*7.5)</f>
        <v>72.525</v>
      </c>
      <c r="N67" s="14">
        <f>SUM(N63:N66)</f>
        <v>-967</v>
      </c>
      <c r="O67" s="5" t="s">
        <v>70</v>
      </c>
      <c r="P67" s="5"/>
    </row>
    <row r="68" spans="10:12" ht="12.75">
      <c r="J68" s="5" t="s">
        <v>71</v>
      </c>
      <c r="K68" s="13"/>
      <c r="L68" s="25">
        <f>SUM(J63:J67)</f>
        <v>9609.815</v>
      </c>
    </row>
    <row r="69" spans="1:2" ht="12.75">
      <c r="A69" s="5"/>
      <c r="B69" s="5" t="s">
        <v>72</v>
      </c>
    </row>
    <row r="70" spans="1:11" ht="12.75">
      <c r="A70" s="5"/>
      <c r="B70" s="44" t="s">
        <v>10</v>
      </c>
      <c r="C70" s="5" t="s">
        <v>73</v>
      </c>
      <c r="J70" s="18">
        <v>0</v>
      </c>
      <c r="K70" s="5"/>
    </row>
    <row r="71" spans="1:11" ht="12.75">
      <c r="A71" s="5"/>
      <c r="B71" s="44" t="s">
        <v>10</v>
      </c>
      <c r="C71" s="5" t="s">
        <v>74</v>
      </c>
      <c r="J71" s="18">
        <v>0</v>
      </c>
      <c r="K71" s="5"/>
    </row>
    <row r="72" spans="2:12" ht="12.75">
      <c r="B72" s="44"/>
      <c r="J72" s="5" t="s">
        <v>55</v>
      </c>
      <c r="K72" s="5"/>
      <c r="L72" s="25">
        <f>SUM(J70:J71)</f>
        <v>0</v>
      </c>
    </row>
    <row r="73" spans="10:12" ht="18" customHeight="1">
      <c r="J73" s="36" t="str">
        <f>IF(L61-L62-L68-L72&lt;0,"Erstattungsbetrag:","Abschlußzahlung:")</f>
        <v>Erstattungsbetrag:</v>
      </c>
      <c r="K73" s="13"/>
      <c r="L73" s="2">
        <f>ABS(L61-L62-L68-L72)</f>
        <v>8642.815</v>
      </c>
    </row>
    <row r="74" spans="1:16" ht="12.75">
      <c r="A74" s="54" t="str">
        <f ca="1">"Abzugfähige Vorsorgeaufwendungen für "&amp;YEAR(TODAY())-1</f>
        <v>Abzugfähige Vorsorgeaufwendungen für 1997</v>
      </c>
      <c r="B74" s="55"/>
      <c r="C74" s="55"/>
      <c r="D74" s="55"/>
      <c r="E74" s="55"/>
      <c r="F74" s="55"/>
      <c r="G74" s="35"/>
      <c r="H74" s="55"/>
      <c r="I74" s="35"/>
      <c r="J74" s="55"/>
      <c r="K74" s="35"/>
      <c r="L74" s="17"/>
      <c r="P74" s="56"/>
    </row>
    <row r="75" spans="1:11" ht="15">
      <c r="A75" s="42" t="s">
        <v>75</v>
      </c>
      <c r="H75" s="8" t="s">
        <v>5</v>
      </c>
      <c r="I75" s="9"/>
      <c r="J75" s="8" t="s">
        <v>5</v>
      </c>
      <c r="K75" s="9"/>
    </row>
    <row r="76" spans="1:11" ht="12.75">
      <c r="A76" s="5"/>
      <c r="B76" s="5" t="s">
        <v>76</v>
      </c>
      <c r="J76" s="15">
        <v>1200</v>
      </c>
      <c r="K76" s="5"/>
    </row>
    <row r="77" spans="1:11" ht="12.75">
      <c r="A77" s="5"/>
      <c r="B77" s="5" t="s">
        <v>77</v>
      </c>
      <c r="K77" s="5"/>
    </row>
    <row r="78" spans="1:11" ht="12.75">
      <c r="A78" s="5"/>
      <c r="B78" s="44" t="s">
        <v>10</v>
      </c>
      <c r="C78" s="5" t="s">
        <v>78</v>
      </c>
      <c r="J78" s="15">
        <v>1500</v>
      </c>
      <c r="K78" s="5"/>
    </row>
    <row r="79" spans="1:11" ht="12.75">
      <c r="A79" s="5"/>
      <c r="B79" s="44" t="s">
        <v>10</v>
      </c>
      <c r="C79" s="5" t="s">
        <v>79</v>
      </c>
      <c r="J79" s="15">
        <v>850</v>
      </c>
      <c r="K79" s="5"/>
    </row>
    <row r="80" spans="1:11" ht="12.75">
      <c r="A80" s="5"/>
      <c r="B80" s="44" t="s">
        <v>10</v>
      </c>
      <c r="C80" s="5" t="s">
        <v>80</v>
      </c>
      <c r="J80" s="15">
        <v>1000</v>
      </c>
      <c r="K80" s="5"/>
    </row>
    <row r="81" spans="1:11" ht="12.75">
      <c r="A81" s="5"/>
      <c r="B81" s="44" t="s">
        <v>10</v>
      </c>
      <c r="C81" s="5" t="s">
        <v>81</v>
      </c>
      <c r="J81" s="15">
        <v>1800</v>
      </c>
      <c r="K81" s="5"/>
    </row>
    <row r="82" spans="1:11" ht="12.75">
      <c r="A82" s="5"/>
      <c r="B82" s="44" t="s">
        <v>10</v>
      </c>
      <c r="C82" s="5" t="s">
        <v>82</v>
      </c>
      <c r="J82" s="15">
        <v>900</v>
      </c>
      <c r="K82" s="5"/>
    </row>
    <row r="83" spans="1:11" ht="12.75">
      <c r="A83" s="5"/>
      <c r="B83" s="5" t="s">
        <v>83</v>
      </c>
      <c r="J83" s="25">
        <f>SUM(J76:J82)</f>
        <v>7250</v>
      </c>
      <c r="K83" s="21"/>
    </row>
    <row r="84" ht="15">
      <c r="A84" s="42" t="s">
        <v>84</v>
      </c>
    </row>
    <row r="85" spans="1:2" ht="15">
      <c r="A85" s="42" t="s">
        <v>85</v>
      </c>
      <c r="B85" s="42" t="s">
        <v>86</v>
      </c>
    </row>
    <row r="86" spans="1:14" ht="12.75">
      <c r="A86" s="14"/>
      <c r="B86" s="5" t="s">
        <v>87</v>
      </c>
      <c r="H86" s="11">
        <f>IF(A3="verheiratet",12000,6000)</f>
        <v>12000</v>
      </c>
      <c r="I86" s="5"/>
      <c r="N86" s="57"/>
    </row>
    <row r="87" spans="3:5" ht="12.75">
      <c r="C87" s="5" t="s">
        <v>88</v>
      </c>
      <c r="D87" s="18">
        <f>F11</f>
        <v>52800</v>
      </c>
      <c r="E87" s="5" t="s">
        <v>89</v>
      </c>
    </row>
    <row r="88" spans="3:4" ht="12.75">
      <c r="C88" s="5" t="s">
        <v>90</v>
      </c>
      <c r="D88" s="5" t="s">
        <v>91</v>
      </c>
    </row>
    <row r="89" spans="4:11" ht="12.75">
      <c r="D89" s="5" t="s">
        <v>92</v>
      </c>
      <c r="H89" s="25">
        <f>IF(H86=6000,IF(D87/100*16&lt;6000,INT(D87/100*16),6000),IF(D87/100*16&lt;12000,INT(D87/100*16),12000))</f>
        <v>8448</v>
      </c>
      <c r="I89" s="5"/>
      <c r="J89" s="25">
        <f>IF(H86-H89&lt;0,0,IF(H89=0,0,H86-H89))</f>
        <v>3552</v>
      </c>
      <c r="K89" s="58"/>
    </row>
    <row r="90" spans="1:11" ht="12.75">
      <c r="A90" s="5"/>
      <c r="B90" s="5" t="s">
        <v>93</v>
      </c>
      <c r="J90" s="25">
        <f>J83-J89</f>
        <v>3698</v>
      </c>
      <c r="K90" s="21"/>
    </row>
    <row r="91" spans="1:12" ht="12.75">
      <c r="A91" s="5"/>
      <c r="B91" s="5" t="s">
        <v>94</v>
      </c>
      <c r="L91" s="25">
        <f>IF(J89&lt;H86,J89,H86)</f>
        <v>3552</v>
      </c>
    </row>
    <row r="92" spans="1:11" ht="12.75">
      <c r="A92" s="5"/>
      <c r="B92" s="14" t="s">
        <v>95</v>
      </c>
      <c r="J92" s="18">
        <v>0</v>
      </c>
      <c r="K92" s="59"/>
    </row>
    <row r="93" spans="1:11" ht="12.75">
      <c r="A93" s="5"/>
      <c r="B93" s="5" t="s">
        <v>96</v>
      </c>
      <c r="J93" s="25">
        <f>J90+J92</f>
        <v>3698</v>
      </c>
      <c r="K93" s="21"/>
    </row>
    <row r="94" spans="1:2" ht="15">
      <c r="A94" s="42" t="s">
        <v>97</v>
      </c>
      <c r="B94" s="42" t="s">
        <v>98</v>
      </c>
    </row>
    <row r="95" spans="1:12" ht="12.75">
      <c r="A95" s="14"/>
      <c r="B95" s="5" t="s">
        <v>99</v>
      </c>
      <c r="J95" s="25">
        <f>IF(A3="verheiratet",5220,2610)</f>
        <v>5220</v>
      </c>
      <c r="K95" s="21"/>
      <c r="L95" s="25">
        <f>IF(J93&lt;J95,J95,J93)</f>
        <v>5220</v>
      </c>
    </row>
    <row r="96" spans="1:11" ht="12.75">
      <c r="A96" s="5"/>
      <c r="B96" s="5" t="s">
        <v>100</v>
      </c>
      <c r="J96" s="25">
        <f>IF(J93-J95&lt;=0,0,J93-J95)</f>
        <v>0</v>
      </c>
      <c r="K96" s="21"/>
    </row>
    <row r="97" spans="1:11" ht="15">
      <c r="A97" s="42" t="s">
        <v>101</v>
      </c>
      <c r="B97" s="42" t="s">
        <v>102</v>
      </c>
      <c r="J97" s="25">
        <f>J96/2</f>
        <v>0</v>
      </c>
      <c r="K97" s="21"/>
    </row>
    <row r="98" spans="1:11" ht="12.75">
      <c r="A98" s="14"/>
      <c r="B98" s="14" t="str">
        <f>"Die Hälfte des Grundhöchstbetrages von "&amp;L95&amp;" DM"</f>
        <v>Die Hälfte des Grundhöchstbetrages von 5220 DM</v>
      </c>
      <c r="J98" s="25">
        <f>L95/2</f>
        <v>2610</v>
      </c>
      <c r="K98" s="21"/>
    </row>
    <row r="99" spans="1:12" ht="12.75">
      <c r="A99" s="5"/>
      <c r="B99" s="5" t="s">
        <v>103</v>
      </c>
      <c r="L99" s="25">
        <f>IF(J97&lt;J98,J97,J98)</f>
        <v>0</v>
      </c>
    </row>
    <row r="100" spans="1:12" ht="12.75">
      <c r="A100" s="40" t="s">
        <v>104</v>
      </c>
      <c r="L100" s="25">
        <f>SUM(L91:L99)</f>
        <v>8772</v>
      </c>
    </row>
    <row r="101" spans="1:12" ht="12.75">
      <c r="A101" s="40"/>
      <c r="L101" s="3"/>
    </row>
    <row r="102" spans="1:12" ht="12.75">
      <c r="A102" s="40"/>
      <c r="L102" s="3"/>
    </row>
    <row r="103" spans="1:11" ht="21" customHeight="1">
      <c r="A103" s="60" t="s">
        <v>105</v>
      </c>
      <c r="B103" s="55"/>
      <c r="C103" s="55"/>
      <c r="D103" s="55"/>
      <c r="E103" s="55"/>
      <c r="F103" s="55"/>
      <c r="G103" s="35"/>
      <c r="H103" s="55"/>
      <c r="I103" s="35"/>
      <c r="J103" s="55"/>
      <c r="K103" s="35"/>
    </row>
    <row r="104" spans="6:11" ht="23.25" customHeight="1">
      <c r="F104" s="8" t="s">
        <v>3</v>
      </c>
      <c r="G104" s="9"/>
      <c r="H104" s="10" t="s">
        <v>4</v>
      </c>
      <c r="K104" s="21"/>
    </row>
    <row r="105" spans="6:8" ht="12.75">
      <c r="F105" s="8" t="s">
        <v>5</v>
      </c>
      <c r="G105" s="9"/>
      <c r="H105" s="8" t="s">
        <v>5</v>
      </c>
    </row>
    <row r="106" spans="1:8" ht="12.75">
      <c r="A106" s="5"/>
      <c r="B106" s="5" t="s">
        <v>106</v>
      </c>
      <c r="F106" s="11">
        <f>F11+F13</f>
        <v>52800</v>
      </c>
      <c r="G106" s="13"/>
      <c r="H106" s="11">
        <f>H11+H13</f>
        <v>0</v>
      </c>
    </row>
    <row r="107" spans="1:8" ht="12.75">
      <c r="A107" s="5"/>
      <c r="B107" s="5" t="s">
        <v>107</v>
      </c>
      <c r="F107" s="25">
        <f>IF(F30/100*40&gt;3720,3720,F30/100*40)</f>
        <v>0</v>
      </c>
      <c r="G107" s="13"/>
      <c r="H107" s="25">
        <f>IF(H30/100*40&gt;3720,3720,H30/100*40)</f>
        <v>0</v>
      </c>
    </row>
    <row r="108" spans="1:12" ht="12.75">
      <c r="A108" s="5"/>
      <c r="B108" s="5" t="s">
        <v>108</v>
      </c>
      <c r="F108" s="25">
        <f>F106-F107</f>
        <v>52800</v>
      </c>
      <c r="G108" s="61" t="s">
        <v>32</v>
      </c>
      <c r="H108" s="25">
        <f>H106-H107</f>
        <v>0</v>
      </c>
      <c r="I108" s="13"/>
      <c r="J108" s="19" t="s">
        <v>71</v>
      </c>
      <c r="K108" s="13"/>
      <c r="L108" s="25">
        <f>F108+H108</f>
        <v>52800</v>
      </c>
    </row>
    <row r="109" spans="6:12" s="13" customFormat="1" ht="12.75">
      <c r="F109" s="21"/>
      <c r="G109" s="61"/>
      <c r="H109" s="21"/>
      <c r="J109" s="20"/>
      <c r="L109" s="21"/>
    </row>
    <row r="110" spans="1:2" ht="15">
      <c r="A110" s="42" t="s">
        <v>109</v>
      </c>
      <c r="B110" s="42"/>
    </row>
    <row r="111" spans="1:10" ht="12.75">
      <c r="A111" s="5"/>
      <c r="B111" s="5" t="s">
        <v>110</v>
      </c>
      <c r="J111" s="25">
        <f>L108/100*18</f>
        <v>9504</v>
      </c>
    </row>
    <row r="112" spans="1:10" ht="12.75">
      <c r="A112" s="5"/>
      <c r="B112" s="5" t="s">
        <v>111</v>
      </c>
      <c r="J112" s="25">
        <f>IF(A3="ledig",6000-(L108/100*16),12000-(L108/100*16))</f>
        <v>3552</v>
      </c>
    </row>
    <row r="113" spans="10:12" ht="12.75">
      <c r="J113" s="19" t="s">
        <v>112</v>
      </c>
      <c r="K113" s="13"/>
      <c r="L113" s="25">
        <f>IF(J111&lt;J112,J111,J112)</f>
        <v>3552</v>
      </c>
    </row>
    <row r="114" spans="1:10" ht="12.75">
      <c r="A114" s="5"/>
      <c r="B114" s="5" t="s">
        <v>113</v>
      </c>
      <c r="J114" s="25">
        <f>IF(J111-J112&lt;0,0,J111-J112)</f>
        <v>5952</v>
      </c>
    </row>
    <row r="115" spans="1:10" ht="12.75">
      <c r="A115" s="5"/>
      <c r="B115" s="5" t="s">
        <v>114</v>
      </c>
      <c r="J115" s="25">
        <f>IF(A3="verheiratet",5220,2610)</f>
        <v>5220</v>
      </c>
    </row>
    <row r="116" spans="1:10" ht="12.75">
      <c r="A116" s="5"/>
      <c r="B116" s="5" t="s">
        <v>113</v>
      </c>
      <c r="J116" s="25">
        <f>IF(J114-J115&lt;0,0,J114-J115)</f>
        <v>732</v>
      </c>
    </row>
    <row r="117" spans="1:12" ht="12.75">
      <c r="A117" s="5"/>
      <c r="B117" s="5" t="s">
        <v>115</v>
      </c>
      <c r="L117" s="25">
        <f>IF(A3="verheiratet",IF(J116/100*50&gt;1305,1305,J116/100*50),IF(J116/100*50&gt;2610,2610,J116/100*50))</f>
        <v>366</v>
      </c>
    </row>
    <row r="118" spans="10:12" ht="12.75">
      <c r="J118" s="19" t="s">
        <v>71</v>
      </c>
      <c r="K118" s="13"/>
      <c r="L118" s="25">
        <f>L113+L117</f>
        <v>3918</v>
      </c>
    </row>
    <row r="119" spans="1:12" ht="12.75">
      <c r="A119" s="5"/>
      <c r="B119" s="5" t="s">
        <v>116</v>
      </c>
      <c r="L119" s="25">
        <f>(INT(L118/54))*54</f>
        <v>3888</v>
      </c>
    </row>
    <row r="120" ht="12.75">
      <c r="L120" s="21"/>
    </row>
    <row r="121" ht="15">
      <c r="A121" s="42" t="s">
        <v>117</v>
      </c>
    </row>
    <row r="122" spans="1:10" ht="15" customHeight="1">
      <c r="A122" s="5"/>
      <c r="B122" s="5" t="s">
        <v>118</v>
      </c>
      <c r="J122" s="25">
        <f>IF(A3="verheiratet",IF(L108/100*18&gt;2000,2000,L108/100*18),IF(L108/100*18&gt;4000,4000,L108/100*18))</f>
        <v>2000</v>
      </c>
    </row>
    <row r="123" spans="1:12" ht="12.75">
      <c r="A123" s="5"/>
      <c r="B123" s="5" t="s">
        <v>116</v>
      </c>
      <c r="L123" s="25">
        <f>(INT(J122/54))*54</f>
        <v>1998</v>
      </c>
    </row>
    <row r="124" ht="12.75">
      <c r="L124" s="16"/>
    </row>
    <row r="125" ht="15">
      <c r="A125" s="42" t="s">
        <v>119</v>
      </c>
    </row>
    <row r="126" ht="15">
      <c r="A126" s="42" t="s">
        <v>120</v>
      </c>
    </row>
    <row r="127" spans="1:3" ht="15.75" customHeight="1">
      <c r="A127" s="5"/>
      <c r="B127" s="19" t="s">
        <v>85</v>
      </c>
      <c r="C127" s="5" t="s">
        <v>121</v>
      </c>
    </row>
    <row r="128" spans="3:12" ht="12.75">
      <c r="C128" s="5" t="s">
        <v>122</v>
      </c>
      <c r="L128" s="25">
        <f>F108/100*18</f>
        <v>9504</v>
      </c>
    </row>
    <row r="129" spans="1:16" s="13" customFormat="1" ht="12.75">
      <c r="A129" s="5"/>
      <c r="B129" s="19" t="s">
        <v>97</v>
      </c>
      <c r="C129" s="5" t="s">
        <v>123</v>
      </c>
      <c r="D129" s="5"/>
      <c r="E129" s="5"/>
      <c r="F129" s="5"/>
      <c r="H129" s="5"/>
      <c r="J129" s="5"/>
      <c r="L129" s="14"/>
      <c r="M129" s="5"/>
      <c r="N129" s="5"/>
      <c r="O129" s="5"/>
      <c r="P129" s="5"/>
    </row>
    <row r="130" spans="1:16" s="13" customFormat="1" ht="12.75">
      <c r="A130" s="5"/>
      <c r="B130" s="5"/>
      <c r="C130" s="5" t="s">
        <v>124</v>
      </c>
      <c r="D130" s="5"/>
      <c r="E130" s="5"/>
      <c r="F130" s="5"/>
      <c r="H130" s="5"/>
      <c r="J130" s="5"/>
      <c r="L130" s="25">
        <f>IF(H108/100*18&gt;2000,2000,H108/100*18)</f>
        <v>0</v>
      </c>
      <c r="M130" s="5"/>
      <c r="N130" s="5"/>
      <c r="O130" s="5"/>
      <c r="P130" s="5"/>
    </row>
    <row r="131" spans="10:12" ht="12.75">
      <c r="J131" s="19" t="s">
        <v>71</v>
      </c>
      <c r="K131" s="13"/>
      <c r="L131" s="25">
        <f>SUM(L128:L130)</f>
        <v>9504</v>
      </c>
    </row>
    <row r="132" spans="1:3" ht="12.75">
      <c r="A132" s="5"/>
      <c r="B132" s="19" t="s">
        <v>101</v>
      </c>
      <c r="C132" s="5" t="s">
        <v>125</v>
      </c>
    </row>
    <row r="133" spans="3:10" ht="12.75">
      <c r="C133" s="5" t="s">
        <v>126</v>
      </c>
      <c r="J133" s="25">
        <f>12000-(L108/100*16)</f>
        <v>3552</v>
      </c>
    </row>
    <row r="134" spans="3:12" ht="12.75">
      <c r="C134" s="5" t="s">
        <v>127</v>
      </c>
      <c r="L134" s="25">
        <f>IF(L131-J133&lt;0,0,L131-J133)</f>
        <v>5952</v>
      </c>
    </row>
    <row r="135" spans="3:12" ht="12.75">
      <c r="C135" s="5" t="s">
        <v>128</v>
      </c>
      <c r="L135" s="25">
        <f>IF(L131-J133&lt;0,0,IF(L131-J133&gt;5220,5220,L131-J133))</f>
        <v>5220</v>
      </c>
    </row>
    <row r="136" spans="3:10" ht="12.75">
      <c r="C136" s="5" t="s">
        <v>113</v>
      </c>
      <c r="J136" s="25">
        <f>IF((L131-J133)-5220&lt;0,0,(L131-J133)-5220)</f>
        <v>732</v>
      </c>
    </row>
    <row r="137" spans="3:12" ht="12.75">
      <c r="C137" s="5" t="s">
        <v>129</v>
      </c>
      <c r="L137" s="25">
        <f>IF(J136=0,0,IF(J136/100*50&gt;2610,2610,J136/100*50))</f>
        <v>366</v>
      </c>
    </row>
    <row r="138" spans="10:12" ht="12.75">
      <c r="J138" s="19" t="s">
        <v>71</v>
      </c>
      <c r="K138" s="13"/>
      <c r="L138" s="25">
        <f>SUM(L134:L137)</f>
        <v>11538</v>
      </c>
    </row>
    <row r="139" spans="1:3" ht="12.75">
      <c r="A139" s="5"/>
      <c r="B139" s="19" t="s">
        <v>130</v>
      </c>
      <c r="C139" s="5" t="s">
        <v>131</v>
      </c>
    </row>
    <row r="140" ht="12.75">
      <c r="C140" s="5" t="s">
        <v>132</v>
      </c>
    </row>
    <row r="141" spans="3:12" ht="12.75">
      <c r="C141" s="5" t="s">
        <v>133</v>
      </c>
      <c r="L141" s="25">
        <f>IF(L130&gt;4000,4000,L130)</f>
        <v>0</v>
      </c>
    </row>
    <row r="142" spans="1:3" ht="12.75">
      <c r="A142" s="5"/>
      <c r="B142" s="19" t="s">
        <v>134</v>
      </c>
      <c r="C142" s="5" t="s">
        <v>135</v>
      </c>
    </row>
    <row r="143" spans="3:12" ht="12.75">
      <c r="C143" s="5" t="s">
        <v>136</v>
      </c>
      <c r="L143" s="25">
        <f>IF(L138&gt;L141,L138,L141)</f>
        <v>11538</v>
      </c>
    </row>
    <row r="144" spans="3:12" ht="12.75">
      <c r="C144" s="5" t="s">
        <v>137</v>
      </c>
      <c r="L144" s="25">
        <f>(INT(L143/54))*54</f>
        <v>11502</v>
      </c>
    </row>
  </sheetData>
  <conditionalFormatting sqref="L73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1.1811023622047245" right="0.5905511811023623" top="0.68" bottom="0.3937007874015748" header="0.4921259845" footer="0.4921259845"/>
  <pageSetup blackAndWhite="1" orientation="portrait" paperSize="9" r:id="rId3"/>
  <rowBreaks count="1" manualBreakCount="1">
    <brk id="74" max="6553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HERDT-Verlag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1998-12-21T12:32:54Z</cp:lastPrinted>
  <dcterms:created xsi:type="dcterms:W3CDTF">1998-12-21T07:46:20Z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